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urt\Desktop\"/>
    </mc:Choice>
  </mc:AlternateContent>
  <xr:revisionPtr revIDLastSave="0" documentId="8_{7D54C5EB-C7F1-4240-A9EA-CD5E5FB680F8}" xr6:coauthVersionLast="47" xr6:coauthVersionMax="47" xr10:uidLastSave="{00000000-0000-0000-0000-000000000000}"/>
  <bookViews>
    <workbookView xWindow="29715" yWindow="1935" windowWidth="26325" windowHeight="14100" xr2:uid="{0806CEA6-501A-4256-A723-85D4E5B2F7FA}"/>
  </bookViews>
  <sheets>
    <sheet name="DCF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C39" i="2"/>
  <c r="N38" i="2"/>
  <c r="M38" i="2"/>
  <c r="L38" i="2"/>
  <c r="K38" i="2"/>
  <c r="J38" i="2"/>
  <c r="I38" i="2"/>
  <c r="H38" i="2"/>
  <c r="G38" i="2"/>
  <c r="F38" i="2"/>
  <c r="E38" i="2"/>
  <c r="D38" i="2"/>
  <c r="C36" i="2"/>
  <c r="C35" i="2"/>
  <c r="N34" i="2"/>
  <c r="M34" i="2"/>
  <c r="L34" i="2"/>
  <c r="K34" i="2"/>
  <c r="J34" i="2"/>
  <c r="I34" i="2"/>
  <c r="H34" i="2"/>
  <c r="G34" i="2"/>
  <c r="F34" i="2"/>
  <c r="E34" i="2"/>
  <c r="D34" i="2"/>
  <c r="N33" i="2"/>
  <c r="M33" i="2"/>
  <c r="L33" i="2"/>
  <c r="K33" i="2"/>
  <c r="J33" i="2"/>
  <c r="I33" i="2"/>
  <c r="H33" i="2"/>
  <c r="G33" i="2"/>
  <c r="F33" i="2"/>
  <c r="E33" i="2"/>
  <c r="N31" i="2"/>
  <c r="M31" i="2"/>
  <c r="L31" i="2"/>
  <c r="K31" i="2"/>
  <c r="J31" i="2"/>
  <c r="I31" i="2"/>
  <c r="H31" i="2"/>
  <c r="G31" i="2"/>
  <c r="F31" i="2"/>
  <c r="E31" i="2"/>
  <c r="N29" i="2"/>
  <c r="M29" i="2"/>
  <c r="L29" i="2"/>
  <c r="K29" i="2"/>
  <c r="J29" i="2"/>
  <c r="I29" i="2"/>
  <c r="H29" i="2"/>
  <c r="G29" i="2"/>
  <c r="F29" i="2"/>
  <c r="E29" i="2"/>
  <c r="N28" i="2"/>
  <c r="M28" i="2"/>
  <c r="L28" i="2"/>
  <c r="K28" i="2"/>
  <c r="J28" i="2"/>
  <c r="I28" i="2"/>
  <c r="H28" i="2"/>
  <c r="G28" i="2"/>
  <c r="F28" i="2"/>
  <c r="E28" i="2"/>
  <c r="N27" i="2"/>
  <c r="M27" i="2"/>
  <c r="L27" i="2"/>
  <c r="K27" i="2"/>
  <c r="J27" i="2"/>
  <c r="I27" i="2"/>
  <c r="H27" i="2"/>
  <c r="G27" i="2"/>
  <c r="F27" i="2"/>
  <c r="E27" i="2"/>
  <c r="N26" i="2"/>
  <c r="M26" i="2"/>
  <c r="L26" i="2"/>
  <c r="K26" i="2"/>
  <c r="J26" i="2"/>
  <c r="I26" i="2"/>
  <c r="H26" i="2"/>
  <c r="G26" i="2"/>
  <c r="F26" i="2"/>
  <c r="E26" i="2"/>
  <c r="N25" i="2"/>
  <c r="M25" i="2"/>
  <c r="L25" i="2"/>
  <c r="K25" i="2"/>
  <c r="J25" i="2"/>
  <c r="I25" i="2"/>
  <c r="H25" i="2"/>
  <c r="G25" i="2"/>
  <c r="F25" i="2"/>
  <c r="E25" i="2"/>
  <c r="C25" i="2"/>
  <c r="N24" i="2"/>
  <c r="M24" i="2"/>
  <c r="L24" i="2"/>
  <c r="K24" i="2"/>
  <c r="J24" i="2"/>
  <c r="I24" i="2"/>
  <c r="H24" i="2"/>
  <c r="G24" i="2"/>
  <c r="F24" i="2"/>
  <c r="E24" i="2"/>
  <c r="N23" i="2"/>
  <c r="M23" i="2"/>
  <c r="L23" i="2"/>
  <c r="K23" i="2"/>
  <c r="J23" i="2"/>
  <c r="I23" i="2"/>
  <c r="H23" i="2"/>
  <c r="G23" i="2"/>
  <c r="F23" i="2"/>
  <c r="E23" i="2"/>
  <c r="N21" i="2"/>
  <c r="M21" i="2"/>
  <c r="L21" i="2"/>
  <c r="K21" i="2"/>
  <c r="J21" i="2"/>
  <c r="I21" i="2"/>
  <c r="H21" i="2"/>
  <c r="G21" i="2"/>
  <c r="F21" i="2"/>
  <c r="E21" i="2"/>
  <c r="N20" i="2"/>
  <c r="M20" i="2"/>
  <c r="L20" i="2"/>
  <c r="K20" i="2"/>
  <c r="J20" i="2"/>
  <c r="I20" i="2"/>
  <c r="H20" i="2"/>
  <c r="G20" i="2"/>
  <c r="F20" i="2"/>
  <c r="E20" i="2"/>
  <c r="O19" i="2"/>
  <c r="N19" i="2"/>
  <c r="M19" i="2"/>
  <c r="L19" i="2"/>
  <c r="K19" i="2"/>
  <c r="J19" i="2"/>
  <c r="I19" i="2"/>
  <c r="H19" i="2"/>
  <c r="G19" i="2"/>
  <c r="F19" i="2"/>
  <c r="E19" i="2"/>
  <c r="N18" i="2"/>
  <c r="M18" i="2"/>
  <c r="L18" i="2"/>
  <c r="K18" i="2"/>
  <c r="J18" i="2"/>
  <c r="I18" i="2"/>
  <c r="H18" i="2"/>
  <c r="G18" i="2"/>
  <c r="F18" i="2"/>
  <c r="O17" i="2"/>
  <c r="N17" i="2"/>
  <c r="M17" i="2"/>
  <c r="L17" i="2"/>
  <c r="K17" i="2"/>
  <c r="J17" i="2"/>
  <c r="I17" i="2"/>
  <c r="H17" i="2"/>
  <c r="G17" i="2"/>
  <c r="F17" i="2"/>
  <c r="E17" i="2"/>
  <c r="D15" i="2"/>
  <c r="D13" i="2"/>
  <c r="D12" i="2"/>
  <c r="D11" i="2"/>
  <c r="N10" i="2"/>
  <c r="M10" i="2"/>
  <c r="L10" i="2"/>
  <c r="K10" i="2"/>
  <c r="J10" i="2"/>
  <c r="I10" i="2"/>
  <c r="H10" i="2"/>
  <c r="G10" i="2"/>
  <c r="F10" i="2"/>
  <c r="E10" i="2"/>
  <c r="I9" i="2"/>
  <c r="I8" i="2"/>
  <c r="I7" i="2"/>
  <c r="N3" i="2"/>
  <c r="I3" i="2"/>
  <c r="H3" i="2"/>
</calcChain>
</file>

<file path=xl/sharedStrings.xml><?xml version="1.0" encoding="utf-8"?>
<sst xmlns="http://schemas.openxmlformats.org/spreadsheetml/2006/main" count="45" uniqueCount="41">
  <si>
    <t>Basic Real Estate DCF (Annual)</t>
  </si>
  <si>
    <t>Assumptions</t>
  </si>
  <si>
    <t>Analysis Period (Years)</t>
  </si>
  <si>
    <t>Loan Amount</t>
  </si>
  <si>
    <t>Year 1 Net Operating Income</t>
  </si>
  <si>
    <t>Purchase Price</t>
  </si>
  <si>
    <t>Interest Rate</t>
  </si>
  <si>
    <t>Annual NOI Growth</t>
  </si>
  <si>
    <t>See row 18</t>
  </si>
  <si>
    <t>Acquisition/Closing Cost (%)</t>
  </si>
  <si>
    <t>Interest-Only?</t>
  </si>
  <si>
    <t>No</t>
  </si>
  <si>
    <t>Annual CapEx as % of NOI</t>
  </si>
  <si>
    <t>Amort Period (Years)</t>
  </si>
  <si>
    <t>Terminal Cap Rate (%)</t>
  </si>
  <si>
    <t>IO Payment (Monthly)</t>
  </si>
  <si>
    <t>Selling Costs (%)</t>
  </si>
  <si>
    <t>Amort Payment (Monthly)</t>
  </si>
  <si>
    <t>Loan Payoff</t>
  </si>
  <si>
    <t>Investment Cash Flow</t>
  </si>
  <si>
    <t>Acquisition/Closing Cost</t>
  </si>
  <si>
    <t>Total Acquisition Cost</t>
  </si>
  <si>
    <t>Loan Funding</t>
  </si>
  <si>
    <t>Operating Cash Flow</t>
  </si>
  <si>
    <t>NOI Growth</t>
  </si>
  <si>
    <t>Net Operating Income</t>
  </si>
  <si>
    <t>Capital Expenditures</t>
  </si>
  <si>
    <t>Cash Flow from Operations</t>
  </si>
  <si>
    <t>Debt Service</t>
  </si>
  <si>
    <t>Cash Flow after Financing</t>
  </si>
  <si>
    <t>Year 1 Debt Yield</t>
  </si>
  <si>
    <t>DSCR</t>
  </si>
  <si>
    <t>Reversion Cash Flow</t>
  </si>
  <si>
    <t>Gross Sales Price</t>
  </si>
  <si>
    <t>Selling Cost</t>
  </si>
  <si>
    <t>Proceeds from Sale</t>
  </si>
  <si>
    <t>Net Cash Flow and Returns</t>
  </si>
  <si>
    <t>Net Unlevered Cash Flow</t>
  </si>
  <si>
    <t>Internal Rate of Return</t>
  </si>
  <si>
    <t>Equity Multiple</t>
  </si>
  <si>
    <t>Net Levered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</si>
</sst>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#,##0_);_(\(#,##0\);_(&quot;-&quot;??_);_(@_)"/>
    <numFmt numFmtId="165" formatCode="0.00&quot;x&quot;"/>
    <numFmt numFmtId="166" formatCode="&quot;Year&quot;\ 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FF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64" fontId="1" fillId="2" borderId="0" xfId="0" applyNumberFormat="1" applyFont="1" applyFill="1"/>
    <xf numFmtId="164" fontId="1" fillId="3" borderId="0" xfId="0" applyNumberFormat="1" applyFont="1" applyFill="1"/>
    <xf numFmtId="164" fontId="2" fillId="0" borderId="0" xfId="0" applyNumberFormat="1" applyFont="1"/>
    <xf numFmtId="164" fontId="3" fillId="0" borderId="0" xfId="0" applyNumberFormat="1" applyFont="1"/>
    <xf numFmtId="10" fontId="2" fillId="0" borderId="0" xfId="0" applyNumberFormat="1" applyFont="1"/>
    <xf numFmtId="10" fontId="3" fillId="0" borderId="0" xfId="0" applyNumberFormat="1" applyFont="1"/>
    <xf numFmtId="10" fontId="4" fillId="0" borderId="0" xfId="0" applyNumberFormat="1" applyFont="1"/>
    <xf numFmtId="10" fontId="0" fillId="0" borderId="0" xfId="0" applyNumberFormat="1"/>
    <xf numFmtId="164" fontId="5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166" fontId="5" fillId="3" borderId="0" xfId="0" applyNumberFormat="1" applyFont="1" applyFill="1"/>
    <xf numFmtId="166" fontId="0" fillId="0" borderId="0" xfId="0" applyNumberForma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79D3-079B-45BD-86A1-015FF7589FAE}">
  <dimension ref="A1:O40"/>
  <sheetViews>
    <sheetView tabSelected="1" workbookViewId="0">
      <selection activeCell="C9" sqref="C9"/>
    </sheetView>
  </sheetViews>
  <sheetFormatPr defaultRowHeight="15" x14ac:dyDescent="0.25"/>
  <cols>
    <col min="1" max="15" width="12.7109375" customWidth="1"/>
  </cols>
  <sheetData>
    <row r="1" spans="1:15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x14ac:dyDescent="0.25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x14ac:dyDescent="0.25">
      <c r="A3" s="1" t="s">
        <v>2</v>
      </c>
      <c r="B3" s="1"/>
      <c r="C3" s="1"/>
      <c r="D3" s="6">
        <v>10</v>
      </c>
      <c r="E3" s="1"/>
      <c r="F3" s="1" t="s">
        <v>3</v>
      </c>
      <c r="G3" s="1"/>
      <c r="H3" s="9">
        <f>I3/D4</f>
        <v>0.6</v>
      </c>
      <c r="I3" s="6">
        <f>D4*0.6</f>
        <v>6000000</v>
      </c>
      <c r="J3" s="1"/>
      <c r="K3" s="1" t="s">
        <v>4</v>
      </c>
      <c r="L3" s="1"/>
      <c r="M3" s="1"/>
      <c r="N3" s="6">
        <f>D4*D7</f>
        <v>600000</v>
      </c>
      <c r="O3" s="1"/>
    </row>
    <row r="4" spans="1:15" x14ac:dyDescent="0.25">
      <c r="A4" s="1" t="s">
        <v>5</v>
      </c>
      <c r="B4" s="1"/>
      <c r="C4" s="1"/>
      <c r="D4" s="6">
        <v>10000000</v>
      </c>
      <c r="E4" s="1"/>
      <c r="F4" s="1" t="s">
        <v>6</v>
      </c>
      <c r="G4" s="1"/>
      <c r="H4" s="1"/>
      <c r="I4" s="8">
        <v>0.06</v>
      </c>
      <c r="J4" s="1"/>
      <c r="K4" s="1" t="s">
        <v>7</v>
      </c>
      <c r="L4" s="1"/>
      <c r="M4" s="1"/>
      <c r="N4" s="7" t="s">
        <v>8</v>
      </c>
      <c r="O4" s="1"/>
    </row>
    <row r="5" spans="1:15" x14ac:dyDescent="0.25">
      <c r="A5" s="1" t="s">
        <v>9</v>
      </c>
      <c r="B5" s="1"/>
      <c r="C5" s="1"/>
      <c r="D5" s="8">
        <v>0.01</v>
      </c>
      <c r="E5" s="1"/>
      <c r="F5" s="1" t="s">
        <v>10</v>
      </c>
      <c r="G5" s="1"/>
      <c r="H5" s="1"/>
      <c r="I5" s="17" t="s">
        <v>11</v>
      </c>
      <c r="J5" s="1"/>
      <c r="K5" s="1" t="s">
        <v>12</v>
      </c>
      <c r="L5" s="1"/>
      <c r="M5" s="1"/>
      <c r="N5" s="8">
        <v>0.05</v>
      </c>
      <c r="O5" s="1"/>
    </row>
    <row r="6" spans="1:15" x14ac:dyDescent="0.25">
      <c r="A6" s="1"/>
      <c r="B6" s="1"/>
      <c r="C6" s="1"/>
      <c r="D6" s="1"/>
      <c r="E6" s="1"/>
      <c r="F6" s="1" t="s">
        <v>13</v>
      </c>
      <c r="G6" s="1"/>
      <c r="H6" s="1"/>
      <c r="I6" s="6">
        <v>30</v>
      </c>
      <c r="J6" s="1"/>
      <c r="K6" s="1"/>
      <c r="L6" s="1"/>
      <c r="M6" s="1"/>
      <c r="N6" s="1"/>
      <c r="O6" s="1"/>
    </row>
    <row r="7" spans="1:15" x14ac:dyDescent="0.25">
      <c r="A7" s="1" t="s">
        <v>14</v>
      </c>
      <c r="B7" s="1"/>
      <c r="C7" s="1"/>
      <c r="D7" s="8">
        <v>0.06</v>
      </c>
      <c r="E7" s="1"/>
      <c r="F7" s="1" t="s">
        <v>15</v>
      </c>
      <c r="G7" s="1"/>
      <c r="H7" s="1"/>
      <c r="I7" s="1">
        <f>I3*I4/12</f>
        <v>30000</v>
      </c>
      <c r="J7" s="1"/>
      <c r="K7" s="1"/>
      <c r="L7" s="1"/>
      <c r="M7" s="1"/>
      <c r="N7" s="1"/>
      <c r="O7" s="1"/>
    </row>
    <row r="8" spans="1:15" x14ac:dyDescent="0.25">
      <c r="A8" s="1" t="s">
        <v>16</v>
      </c>
      <c r="B8" s="1"/>
      <c r="C8" s="1"/>
      <c r="D8" s="8">
        <v>0.03</v>
      </c>
      <c r="E8" s="1"/>
      <c r="F8" s="1" t="s">
        <v>17</v>
      </c>
      <c r="G8" s="1"/>
      <c r="H8" s="1"/>
      <c r="I8" s="1">
        <f>PMT(I4/12,I6*12,-I3)</f>
        <v>35973.031509165143</v>
      </c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 t="s">
        <v>18</v>
      </c>
      <c r="G9" s="1"/>
      <c r="H9" s="1"/>
      <c r="I9" s="1">
        <f>IF(I5="Yes",I3,-PV(I4/12,(I6-D3)*12,I8))</f>
        <v>5021143.4978235168</v>
      </c>
      <c r="J9" s="1"/>
      <c r="K9" s="1"/>
      <c r="L9" s="1"/>
      <c r="M9" s="1"/>
      <c r="N9" s="1"/>
      <c r="O9" s="1"/>
    </row>
    <row r="10" spans="1:15" x14ac:dyDescent="0.25">
      <c r="A10" s="5" t="s">
        <v>19</v>
      </c>
      <c r="B10" s="3"/>
      <c r="C10" s="3"/>
      <c r="D10" s="15">
        <v>0</v>
      </c>
      <c r="E10" s="15">
        <f t="shared" ref="E10:N10" si="0">D10+1</f>
        <v>1</v>
      </c>
      <c r="F10" s="15">
        <f t="shared" si="0"/>
        <v>2</v>
      </c>
      <c r="G10" s="15">
        <f t="shared" si="0"/>
        <v>3</v>
      </c>
      <c r="H10" s="15">
        <f t="shared" si="0"/>
        <v>4</v>
      </c>
      <c r="I10" s="15">
        <f t="shared" si="0"/>
        <v>5</v>
      </c>
      <c r="J10" s="15">
        <f t="shared" si="0"/>
        <v>6</v>
      </c>
      <c r="K10" s="15">
        <f t="shared" si="0"/>
        <v>7</v>
      </c>
      <c r="L10" s="15">
        <f t="shared" si="0"/>
        <v>8</v>
      </c>
      <c r="M10" s="15">
        <f t="shared" si="0"/>
        <v>9</v>
      </c>
      <c r="N10" s="15">
        <f t="shared" si="0"/>
        <v>10</v>
      </c>
      <c r="O10" s="1"/>
    </row>
    <row r="11" spans="1:15" x14ac:dyDescent="0.25">
      <c r="A11" s="1" t="s">
        <v>5</v>
      </c>
      <c r="B11" s="1"/>
      <c r="C11" s="1"/>
      <c r="D11" s="1">
        <f>-D4</f>
        <v>-10000000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 t="s">
        <v>20</v>
      </c>
      <c r="B12" s="1"/>
      <c r="C12" s="1"/>
      <c r="D12" s="12">
        <f>D5*D11</f>
        <v>-100000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"/>
    </row>
    <row r="13" spans="1:15" x14ac:dyDescent="0.25">
      <c r="A13" s="1" t="s">
        <v>21</v>
      </c>
      <c r="B13" s="1"/>
      <c r="C13" s="1"/>
      <c r="D13" s="1">
        <f>SUM(D11:D12)</f>
        <v>-10100000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 t="s">
        <v>22</v>
      </c>
      <c r="B15" s="1"/>
      <c r="C15" s="1"/>
      <c r="D15" s="1">
        <f>I3</f>
        <v>6000000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5" t="s">
        <v>23</v>
      </c>
      <c r="B17" s="3"/>
      <c r="C17" s="3"/>
      <c r="D17" s="15">
        <v>0</v>
      </c>
      <c r="E17" s="15">
        <f t="shared" ref="E17:O17" si="1">D17+1</f>
        <v>1</v>
      </c>
      <c r="F17" s="15">
        <f t="shared" si="1"/>
        <v>2</v>
      </c>
      <c r="G17" s="15">
        <f t="shared" si="1"/>
        <v>3</v>
      </c>
      <c r="H17" s="15">
        <f t="shared" si="1"/>
        <v>4</v>
      </c>
      <c r="I17" s="15">
        <f t="shared" si="1"/>
        <v>5</v>
      </c>
      <c r="J17" s="15">
        <f t="shared" si="1"/>
        <v>6</v>
      </c>
      <c r="K17" s="15">
        <f t="shared" si="1"/>
        <v>7</v>
      </c>
      <c r="L17" s="15">
        <f t="shared" si="1"/>
        <v>8</v>
      </c>
      <c r="M17" s="15">
        <f t="shared" si="1"/>
        <v>9</v>
      </c>
      <c r="N17" s="15">
        <f t="shared" si="1"/>
        <v>10</v>
      </c>
      <c r="O17" s="16">
        <f t="shared" si="1"/>
        <v>11</v>
      </c>
    </row>
    <row r="18" spans="1:15" x14ac:dyDescent="0.25">
      <c r="A18" s="1"/>
      <c r="B18" s="1"/>
      <c r="C18" s="1"/>
      <c r="D18" s="18" t="s">
        <v>24</v>
      </c>
      <c r="E18" s="10">
        <v>0.03</v>
      </c>
      <c r="F18" s="10">
        <f t="shared" ref="F18:N18" si="2">$E$18</f>
        <v>0.03</v>
      </c>
      <c r="G18" s="10">
        <f t="shared" si="2"/>
        <v>0.03</v>
      </c>
      <c r="H18" s="10">
        <f t="shared" si="2"/>
        <v>0.03</v>
      </c>
      <c r="I18" s="10">
        <f t="shared" si="2"/>
        <v>0.03</v>
      </c>
      <c r="J18" s="10">
        <f t="shared" si="2"/>
        <v>0.03</v>
      </c>
      <c r="K18" s="10">
        <f t="shared" si="2"/>
        <v>0.03</v>
      </c>
      <c r="L18" s="10">
        <f t="shared" si="2"/>
        <v>0.03</v>
      </c>
      <c r="M18" s="10">
        <f t="shared" si="2"/>
        <v>0.03</v>
      </c>
      <c r="N18" s="10">
        <f t="shared" si="2"/>
        <v>0.03</v>
      </c>
      <c r="O18" s="1"/>
    </row>
    <row r="19" spans="1:15" x14ac:dyDescent="0.25">
      <c r="A19" s="1" t="s">
        <v>25</v>
      </c>
      <c r="B19" s="1"/>
      <c r="C19" s="1"/>
      <c r="D19" s="1"/>
      <c r="E19" s="1">
        <f>$N$3</f>
        <v>600000</v>
      </c>
      <c r="F19" s="1">
        <f t="shared" ref="F19:O19" si="3">E19*(1+E18)</f>
        <v>618000</v>
      </c>
      <c r="G19" s="1">
        <f t="shared" si="3"/>
        <v>636540</v>
      </c>
      <c r="H19" s="1">
        <f t="shared" si="3"/>
        <v>655636.20000000007</v>
      </c>
      <c r="I19" s="1">
        <f t="shared" si="3"/>
        <v>675305.28600000008</v>
      </c>
      <c r="J19" s="1">
        <f t="shared" si="3"/>
        <v>695564.44458000013</v>
      </c>
      <c r="K19" s="1">
        <f t="shared" si="3"/>
        <v>716431.3779174001</v>
      </c>
      <c r="L19" s="1">
        <f t="shared" si="3"/>
        <v>737924.3192549221</v>
      </c>
      <c r="M19" s="1">
        <f t="shared" si="3"/>
        <v>760062.04883256974</v>
      </c>
      <c r="N19" s="1">
        <f t="shared" si="3"/>
        <v>782863.91029754688</v>
      </c>
      <c r="O19" s="1">
        <f t="shared" si="3"/>
        <v>806349.82760647335</v>
      </c>
    </row>
    <row r="20" spans="1:15" x14ac:dyDescent="0.25">
      <c r="A20" s="1" t="s">
        <v>26</v>
      </c>
      <c r="B20" s="1"/>
      <c r="C20" s="1"/>
      <c r="D20" s="1"/>
      <c r="E20" s="12">
        <f t="shared" ref="E20:N20" si="4">$N$5*-E19</f>
        <v>-30000</v>
      </c>
      <c r="F20" s="12">
        <f t="shared" si="4"/>
        <v>-30900</v>
      </c>
      <c r="G20" s="12">
        <f t="shared" si="4"/>
        <v>-31827</v>
      </c>
      <c r="H20" s="12">
        <f t="shared" si="4"/>
        <v>-32781.810000000005</v>
      </c>
      <c r="I20" s="12">
        <f t="shared" si="4"/>
        <v>-33765.264300000003</v>
      </c>
      <c r="J20" s="12">
        <f t="shared" si="4"/>
        <v>-34778.222229000006</v>
      </c>
      <c r="K20" s="12">
        <f t="shared" si="4"/>
        <v>-35821.568895870005</v>
      </c>
      <c r="L20" s="12">
        <f t="shared" si="4"/>
        <v>-36896.215962746108</v>
      </c>
      <c r="M20" s="12">
        <f t="shared" si="4"/>
        <v>-38003.102441628485</v>
      </c>
      <c r="N20" s="12">
        <f t="shared" si="4"/>
        <v>-39143.195514877349</v>
      </c>
      <c r="O20" s="1"/>
    </row>
    <row r="21" spans="1:15" x14ac:dyDescent="0.25">
      <c r="A21" s="1" t="s">
        <v>27</v>
      </c>
      <c r="B21" s="1"/>
      <c r="C21" s="1"/>
      <c r="D21" s="1"/>
      <c r="E21" s="1">
        <f t="shared" ref="E21:N21" si="5">SUM(E19:E20)</f>
        <v>570000</v>
      </c>
      <c r="F21" s="1">
        <f t="shared" si="5"/>
        <v>587100</v>
      </c>
      <c r="G21" s="1">
        <f t="shared" si="5"/>
        <v>604713</v>
      </c>
      <c r="H21" s="1">
        <f t="shared" si="5"/>
        <v>622854.39</v>
      </c>
      <c r="I21" s="1">
        <f t="shared" si="5"/>
        <v>641540.02170000004</v>
      </c>
      <c r="J21" s="1">
        <f t="shared" si="5"/>
        <v>660786.22235100018</v>
      </c>
      <c r="K21" s="1">
        <f t="shared" si="5"/>
        <v>680609.80902153009</v>
      </c>
      <c r="L21" s="1">
        <f t="shared" si="5"/>
        <v>701028.10329217603</v>
      </c>
      <c r="M21" s="1">
        <f t="shared" si="5"/>
        <v>722058.94639094127</v>
      </c>
      <c r="N21" s="1">
        <f t="shared" si="5"/>
        <v>743720.71478266956</v>
      </c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 t="s">
        <v>28</v>
      </c>
      <c r="B23" s="1"/>
      <c r="C23" s="1"/>
      <c r="D23" s="1"/>
      <c r="E23" s="1">
        <f t="shared" ref="E23:N23" si="6">-IF($I$5="Yes", $I$7, $I$8) * 12</f>
        <v>-431676.37810998171</v>
      </c>
      <c r="F23" s="1">
        <f t="shared" si="6"/>
        <v>-431676.37810998171</v>
      </c>
      <c r="G23" s="1">
        <f t="shared" si="6"/>
        <v>-431676.37810998171</v>
      </c>
      <c r="H23" s="1">
        <f t="shared" si="6"/>
        <v>-431676.37810998171</v>
      </c>
      <c r="I23" s="1">
        <f t="shared" si="6"/>
        <v>-431676.37810998171</v>
      </c>
      <c r="J23" s="1">
        <f t="shared" si="6"/>
        <v>-431676.37810998171</v>
      </c>
      <c r="K23" s="1">
        <f t="shared" si="6"/>
        <v>-431676.37810998171</v>
      </c>
      <c r="L23" s="1">
        <f t="shared" si="6"/>
        <v>-431676.37810998171</v>
      </c>
      <c r="M23" s="1">
        <f t="shared" si="6"/>
        <v>-431676.37810998171</v>
      </c>
      <c r="N23" s="1">
        <f t="shared" si="6"/>
        <v>-431676.37810998171</v>
      </c>
      <c r="O23" s="1"/>
    </row>
    <row r="24" spans="1:15" x14ac:dyDescent="0.25">
      <c r="A24" s="1" t="s">
        <v>29</v>
      </c>
      <c r="B24" s="1"/>
      <c r="C24" s="1"/>
      <c r="D24" s="1"/>
      <c r="E24" s="1">
        <f t="shared" ref="E24:N24" si="7">E21+E23</f>
        <v>138323.62189001829</v>
      </c>
      <c r="F24" s="1">
        <f t="shared" si="7"/>
        <v>155423.62189001829</v>
      </c>
      <c r="G24" s="1">
        <f t="shared" si="7"/>
        <v>173036.62189001829</v>
      </c>
      <c r="H24" s="1">
        <f t="shared" si="7"/>
        <v>191178.0118900183</v>
      </c>
      <c r="I24" s="1">
        <f t="shared" si="7"/>
        <v>209863.64359001833</v>
      </c>
      <c r="J24" s="1">
        <f t="shared" si="7"/>
        <v>229109.84424101847</v>
      </c>
      <c r="K24" s="1">
        <f t="shared" si="7"/>
        <v>248933.43091154838</v>
      </c>
      <c r="L24" s="1">
        <f t="shared" si="7"/>
        <v>269351.72518219432</v>
      </c>
      <c r="M24" s="1">
        <f t="shared" si="7"/>
        <v>290382.56828095956</v>
      </c>
      <c r="N24" s="1">
        <f t="shared" si="7"/>
        <v>312044.33667268784</v>
      </c>
      <c r="O24" s="1"/>
    </row>
    <row r="25" spans="1:15" x14ac:dyDescent="0.25">
      <c r="A25" s="7"/>
      <c r="B25" s="18" t="s">
        <v>30</v>
      </c>
      <c r="C25" s="9">
        <f>E21/I3</f>
        <v>9.5000000000000001E-2</v>
      </c>
      <c r="D25" s="18" t="s">
        <v>31</v>
      </c>
      <c r="E25" s="13">
        <f t="shared" ref="E25:N25" si="8">E21/-E23</f>
        <v>1.3204336139393211</v>
      </c>
      <c r="F25" s="13">
        <f t="shared" si="8"/>
        <v>1.3600466223575007</v>
      </c>
      <c r="G25" s="13">
        <f t="shared" si="8"/>
        <v>1.4008480210282257</v>
      </c>
      <c r="H25" s="13">
        <f t="shared" si="8"/>
        <v>1.4428734616590726</v>
      </c>
      <c r="I25" s="13">
        <f t="shared" si="8"/>
        <v>1.4861596655088447</v>
      </c>
      <c r="J25" s="13">
        <f t="shared" si="8"/>
        <v>1.5307444554741105</v>
      </c>
      <c r="K25" s="13">
        <f t="shared" si="8"/>
        <v>1.5766667891383335</v>
      </c>
      <c r="L25" s="13">
        <f t="shared" si="8"/>
        <v>1.6239667928124837</v>
      </c>
      <c r="M25" s="13">
        <f t="shared" si="8"/>
        <v>1.672685796596858</v>
      </c>
      <c r="N25" s="13">
        <f t="shared" si="8"/>
        <v>1.722866370494764</v>
      </c>
      <c r="O25" s="1"/>
    </row>
    <row r="26" spans="1:15" x14ac:dyDescent="0.25">
      <c r="A26" s="5" t="s">
        <v>32</v>
      </c>
      <c r="B26" s="3"/>
      <c r="C26" s="3"/>
      <c r="D26" s="15">
        <v>0</v>
      </c>
      <c r="E26" s="15">
        <f t="shared" ref="E26:N26" si="9">D26+1</f>
        <v>1</v>
      </c>
      <c r="F26" s="15">
        <f t="shared" si="9"/>
        <v>2</v>
      </c>
      <c r="G26" s="15">
        <f t="shared" si="9"/>
        <v>3</v>
      </c>
      <c r="H26" s="15">
        <f t="shared" si="9"/>
        <v>4</v>
      </c>
      <c r="I26" s="15">
        <f t="shared" si="9"/>
        <v>5</v>
      </c>
      <c r="J26" s="15">
        <f t="shared" si="9"/>
        <v>6</v>
      </c>
      <c r="K26" s="15">
        <f t="shared" si="9"/>
        <v>7</v>
      </c>
      <c r="L26" s="15">
        <f t="shared" si="9"/>
        <v>8</v>
      </c>
      <c r="M26" s="15">
        <f t="shared" si="9"/>
        <v>9</v>
      </c>
      <c r="N26" s="15">
        <f t="shared" si="9"/>
        <v>10</v>
      </c>
      <c r="O26" s="1"/>
    </row>
    <row r="27" spans="1:15" x14ac:dyDescent="0.25">
      <c r="A27" s="1" t="s">
        <v>33</v>
      </c>
      <c r="B27" s="1"/>
      <c r="C27" s="1"/>
      <c r="D27" s="1"/>
      <c r="E27" s="1">
        <f t="shared" ref="E27:N27" si="10">(E26=$D$3)*(F19/$D$7)</f>
        <v>0</v>
      </c>
      <c r="F27" s="1">
        <f t="shared" si="10"/>
        <v>0</v>
      </c>
      <c r="G27" s="1">
        <f t="shared" si="10"/>
        <v>0</v>
      </c>
      <c r="H27" s="1">
        <f t="shared" si="10"/>
        <v>0</v>
      </c>
      <c r="I27" s="1">
        <f t="shared" si="10"/>
        <v>0</v>
      </c>
      <c r="J27" s="1">
        <f t="shared" si="10"/>
        <v>0</v>
      </c>
      <c r="K27" s="1">
        <f t="shared" si="10"/>
        <v>0</v>
      </c>
      <c r="L27" s="1">
        <f t="shared" si="10"/>
        <v>0</v>
      </c>
      <c r="M27" s="1">
        <f t="shared" si="10"/>
        <v>0</v>
      </c>
      <c r="N27" s="1">
        <f t="shared" si="10"/>
        <v>13439163.793441223</v>
      </c>
      <c r="O27" s="1"/>
    </row>
    <row r="28" spans="1:15" x14ac:dyDescent="0.25">
      <c r="A28" s="1" t="s">
        <v>34</v>
      </c>
      <c r="B28" s="1"/>
      <c r="C28" s="1"/>
      <c r="D28" s="1"/>
      <c r="E28" s="12">
        <f t="shared" ref="E28:N28" si="11">$D$8*-E27</f>
        <v>0</v>
      </c>
      <c r="F28" s="12">
        <f t="shared" si="11"/>
        <v>0</v>
      </c>
      <c r="G28" s="12">
        <f t="shared" si="11"/>
        <v>0</v>
      </c>
      <c r="H28" s="12">
        <f t="shared" si="11"/>
        <v>0</v>
      </c>
      <c r="I28" s="12">
        <f t="shared" si="11"/>
        <v>0</v>
      </c>
      <c r="J28" s="12">
        <f t="shared" si="11"/>
        <v>0</v>
      </c>
      <c r="K28" s="12">
        <f t="shared" si="11"/>
        <v>0</v>
      </c>
      <c r="L28" s="12">
        <f t="shared" si="11"/>
        <v>0</v>
      </c>
      <c r="M28" s="12">
        <f t="shared" si="11"/>
        <v>0</v>
      </c>
      <c r="N28" s="12">
        <f t="shared" si="11"/>
        <v>-403174.91380323668</v>
      </c>
      <c r="O28" s="1"/>
    </row>
    <row r="29" spans="1:15" x14ac:dyDescent="0.25">
      <c r="A29" s="1" t="s">
        <v>35</v>
      </c>
      <c r="B29" s="1"/>
      <c r="C29" s="1"/>
      <c r="D29" s="1"/>
      <c r="E29" s="1">
        <f t="shared" ref="E29:N29" si="12">SUM(E27:E28)</f>
        <v>0</v>
      </c>
      <c r="F29" s="1">
        <f t="shared" si="12"/>
        <v>0</v>
      </c>
      <c r="G29" s="1">
        <f t="shared" si="12"/>
        <v>0</v>
      </c>
      <c r="H29" s="1">
        <f t="shared" si="12"/>
        <v>0</v>
      </c>
      <c r="I29" s="1">
        <f t="shared" si="12"/>
        <v>0</v>
      </c>
      <c r="J29" s="1">
        <f t="shared" si="12"/>
        <v>0</v>
      </c>
      <c r="K29" s="1">
        <f t="shared" si="12"/>
        <v>0</v>
      </c>
      <c r="L29" s="1">
        <f t="shared" si="12"/>
        <v>0</v>
      </c>
      <c r="M29" s="1">
        <f t="shared" si="12"/>
        <v>0</v>
      </c>
      <c r="N29" s="1">
        <f t="shared" si="12"/>
        <v>13035988.879637986</v>
      </c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 t="s">
        <v>18</v>
      </c>
      <c r="B31" s="1"/>
      <c r="C31" s="1"/>
      <c r="D31" s="1"/>
      <c r="E31" s="1">
        <f t="shared" ref="E31:N31" si="13">(E26=$D$3)*-$I$9</f>
        <v>0</v>
      </c>
      <c r="F31" s="1">
        <f t="shared" si="13"/>
        <v>0</v>
      </c>
      <c r="G31" s="1">
        <f t="shared" si="13"/>
        <v>0</v>
      </c>
      <c r="H31" s="1">
        <f t="shared" si="13"/>
        <v>0</v>
      </c>
      <c r="I31" s="1">
        <f t="shared" si="13"/>
        <v>0</v>
      </c>
      <c r="J31" s="1">
        <f t="shared" si="13"/>
        <v>0</v>
      </c>
      <c r="K31" s="1">
        <f t="shared" si="13"/>
        <v>0</v>
      </c>
      <c r="L31" s="1">
        <f t="shared" si="13"/>
        <v>0</v>
      </c>
      <c r="M31" s="1">
        <f t="shared" si="13"/>
        <v>0</v>
      </c>
      <c r="N31" s="1">
        <f t="shared" si="13"/>
        <v>-5021143.4978235168</v>
      </c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5" t="s">
        <v>36</v>
      </c>
      <c r="B33" s="3"/>
      <c r="C33" s="3"/>
      <c r="D33" s="15">
        <v>0</v>
      </c>
      <c r="E33" s="15">
        <f t="shared" ref="E33:N33" si="14">D33+1</f>
        <v>1</v>
      </c>
      <c r="F33" s="15">
        <f t="shared" si="14"/>
        <v>2</v>
      </c>
      <c r="G33" s="15">
        <f t="shared" si="14"/>
        <v>3</v>
      </c>
      <c r="H33" s="15">
        <f t="shared" si="14"/>
        <v>4</v>
      </c>
      <c r="I33" s="15">
        <f t="shared" si="14"/>
        <v>5</v>
      </c>
      <c r="J33" s="15">
        <f t="shared" si="14"/>
        <v>6</v>
      </c>
      <c r="K33" s="15">
        <f t="shared" si="14"/>
        <v>7</v>
      </c>
      <c r="L33" s="15">
        <f t="shared" si="14"/>
        <v>8</v>
      </c>
      <c r="M33" s="15">
        <f t="shared" si="14"/>
        <v>9</v>
      </c>
      <c r="N33" s="15">
        <f t="shared" si="14"/>
        <v>10</v>
      </c>
      <c r="O33" s="1"/>
    </row>
    <row r="34" spans="1:15" x14ac:dyDescent="0.25">
      <c r="A34" s="1" t="s">
        <v>37</v>
      </c>
      <c r="B34" s="1"/>
      <c r="C34" s="1"/>
      <c r="D34" s="1">
        <f t="shared" ref="D34:N34" si="15">(D33&lt;=$D$3)*(D13+D21+D29)</f>
        <v>-10100000</v>
      </c>
      <c r="E34" s="1">
        <f t="shared" si="15"/>
        <v>570000</v>
      </c>
      <c r="F34" s="1">
        <f t="shared" si="15"/>
        <v>587100</v>
      </c>
      <c r="G34" s="1">
        <f t="shared" si="15"/>
        <v>604713</v>
      </c>
      <c r="H34" s="1">
        <f t="shared" si="15"/>
        <v>622854.39</v>
      </c>
      <c r="I34" s="1">
        <f t="shared" si="15"/>
        <v>641540.02170000004</v>
      </c>
      <c r="J34" s="1">
        <f t="shared" si="15"/>
        <v>660786.22235100018</v>
      </c>
      <c r="K34" s="1">
        <f t="shared" si="15"/>
        <v>680609.80902153009</v>
      </c>
      <c r="L34" s="1">
        <f t="shared" si="15"/>
        <v>701028.10329217603</v>
      </c>
      <c r="M34" s="1">
        <f t="shared" si="15"/>
        <v>722058.94639094127</v>
      </c>
      <c r="N34" s="1">
        <f t="shared" si="15"/>
        <v>13779709.594420657</v>
      </c>
      <c r="O34" s="1"/>
    </row>
    <row r="35" spans="1:15" x14ac:dyDescent="0.25">
      <c r="A35" s="1" t="s">
        <v>38</v>
      </c>
      <c r="B35" s="1"/>
      <c r="C35" s="11">
        <f>IRR(D34:N34)</f>
        <v>8.3217645457987599E-2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 t="s">
        <v>39</v>
      </c>
      <c r="B36" s="1"/>
      <c r="C36" s="14">
        <f>SUMIF(D34:N34,"&gt;0")/-SUMIF(D34:N34,"&lt;0")</f>
        <v>1.9376633749679508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 t="s">
        <v>40</v>
      </c>
      <c r="B38" s="1"/>
      <c r="C38" s="1"/>
      <c r="D38" s="1">
        <f t="shared" ref="D38:N38" si="16">(D33&lt;=$D$3)*(D13+D15+D24+D29+D31)</f>
        <v>-4100000</v>
      </c>
      <c r="E38" s="1">
        <f t="shared" si="16"/>
        <v>138323.62189001829</v>
      </c>
      <c r="F38" s="1">
        <f t="shared" si="16"/>
        <v>155423.62189001829</v>
      </c>
      <c r="G38" s="1">
        <f t="shared" si="16"/>
        <v>173036.62189001829</v>
      </c>
      <c r="H38" s="1">
        <f t="shared" si="16"/>
        <v>191178.0118900183</v>
      </c>
      <c r="I38" s="1">
        <f t="shared" si="16"/>
        <v>209863.64359001833</v>
      </c>
      <c r="J38" s="1">
        <f t="shared" si="16"/>
        <v>229109.84424101847</v>
      </c>
      <c r="K38" s="1">
        <f t="shared" si="16"/>
        <v>248933.43091154838</v>
      </c>
      <c r="L38" s="1">
        <f t="shared" si="16"/>
        <v>269351.72518219432</v>
      </c>
      <c r="M38" s="1">
        <f t="shared" si="16"/>
        <v>290382.56828095956</v>
      </c>
      <c r="N38" s="1">
        <f t="shared" si="16"/>
        <v>8326889.7184871575</v>
      </c>
      <c r="O38" s="1"/>
    </row>
    <row r="39" spans="1:15" x14ac:dyDescent="0.25">
      <c r="A39" s="1" t="s">
        <v>38</v>
      </c>
      <c r="B39" s="1"/>
      <c r="C39" s="11">
        <f>IRR(D38:N38)</f>
        <v>0.10788526341666027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 t="s">
        <v>39</v>
      </c>
      <c r="B40" s="1"/>
      <c r="C40" s="14">
        <f>SUMIF(D38:N38,"&gt;0")/-SUMIF(D38:N38,"&lt;0")</f>
        <v>2.4957299532324315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</sheetData>
  <dataValidations count="2">
    <dataValidation type="list" allowBlank="1" showInputMessage="1" showErrorMessage="1" errorTitle="Invalid input" error="Please select either Yes or No from the list." prompt="Select Yes or No." sqref="I5" xr:uid="{AB57A45E-DFA9-4035-92B4-887CDBEF5D59}">
      <formula1>"Yes,No"</formula1>
    </dataValidation>
    <dataValidation type="whole" allowBlank="1" showInputMessage="1" showErrorMessage="1" errorTitle="Invalid input" error="Please enter a whole number between 1 and 10." prompt="Enter a whole number between 1 and 10." sqref="D3" xr:uid="{C31BCD4A-EFD5-45E1-9DC6-3A48ECB1083B}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Spencer Burton</cp:lastModifiedBy>
  <dcterms:created xsi:type="dcterms:W3CDTF">2025-05-15T15:59:33Z</dcterms:created>
  <dcterms:modified xsi:type="dcterms:W3CDTF">2025-05-15T17:58:23Z</dcterms:modified>
</cp:coreProperties>
</file>